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mu-my.sharepoint.com/personal/maria_beal_tumu_co_nz/Documents/Documents/"/>
    </mc:Choice>
  </mc:AlternateContent>
  <xr:revisionPtr revIDLastSave="0" documentId="8_{10842CDB-C0F3-4191-97BD-EB7EAB44BA2B}" xr6:coauthVersionLast="47" xr6:coauthVersionMax="47" xr10:uidLastSave="{00000000-0000-0000-0000-000000000000}"/>
  <bookViews>
    <workbookView xWindow="-120" yWindow="-120" windowWidth="29040" windowHeight="15840" firstSheet="2" activeTab="2" xr2:uid="{964D4131-CB98-4B24-AE53-CA81A680BE49}"/>
  </bookViews>
  <sheets>
    <sheet name="Electric" sheetId="1" state="hidden" r:id="rId1"/>
    <sheet name="Conventional" sheetId="2" state="hidden" r:id="rId2"/>
    <sheet name="Quote Template Conventional" sheetId="3" r:id="rId3"/>
    <sheet name="Quote Template Electric" sheetId="4" r:id="rId4"/>
  </sheets>
  <definedNames>
    <definedName name="_xlnm.Print_Area" localSheetId="2">'Quote Template Conventional'!$A$1:$G$46</definedName>
    <definedName name="_xlnm.Print_Area" localSheetId="3">'Quote Template Electric'!$A$1:$G$47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4" l="1"/>
  <c r="F35" i="3"/>
  <c r="G19" i="1"/>
  <c r="N23" i="1"/>
  <c r="G23" i="1"/>
  <c r="E32" i="3"/>
  <c r="C32" i="3"/>
  <c r="E31" i="3"/>
  <c r="F31" i="3" s="1"/>
  <c r="C31" i="3"/>
  <c r="E32" i="4"/>
  <c r="E31" i="4"/>
  <c r="E26" i="4"/>
  <c r="E25" i="4"/>
  <c r="F25" i="4" s="1"/>
  <c r="E24" i="4"/>
  <c r="F24" i="4" s="1"/>
  <c r="E23" i="4"/>
  <c r="E21" i="4"/>
  <c r="F21" i="4" s="1"/>
  <c r="C17" i="4"/>
  <c r="C18" i="4"/>
  <c r="C19" i="4"/>
  <c r="C20" i="4"/>
  <c r="C22" i="4"/>
  <c r="C23" i="4"/>
  <c r="C24" i="4"/>
  <c r="C25" i="4"/>
  <c r="C26" i="4"/>
  <c r="C27" i="4"/>
  <c r="C28" i="4"/>
  <c r="C29" i="4"/>
  <c r="C30" i="4"/>
  <c r="C31" i="4"/>
  <c r="C33" i="4"/>
  <c r="N26" i="1"/>
  <c r="L23" i="1"/>
  <c r="L26" i="1"/>
  <c r="N24" i="1"/>
  <c r="O9" i="1"/>
  <c r="E16" i="4" s="1"/>
  <c r="O10" i="1"/>
  <c r="E17" i="4" s="1"/>
  <c r="F17" i="4" s="1"/>
  <c r="O11" i="1"/>
  <c r="E18" i="4" s="1"/>
  <c r="F18" i="4" s="1"/>
  <c r="O12" i="1"/>
  <c r="E19" i="4" s="1"/>
  <c r="O13" i="1"/>
  <c r="E20" i="4" s="1"/>
  <c r="O14" i="1"/>
  <c r="O15" i="1"/>
  <c r="E22" i="4" s="1"/>
  <c r="O20" i="1"/>
  <c r="E27" i="4" s="1"/>
  <c r="F27" i="4" s="1"/>
  <c r="O21" i="1"/>
  <c r="E28" i="4" s="1"/>
  <c r="F28" i="4" s="1"/>
  <c r="O22" i="1"/>
  <c r="E29" i="4" s="1"/>
  <c r="F29" i="4" s="1"/>
  <c r="O23" i="1"/>
  <c r="E30" i="4" s="1"/>
  <c r="F30" i="4" s="1"/>
  <c r="O26" i="1"/>
  <c r="E33" i="4" s="1"/>
  <c r="O8" i="1"/>
  <c r="E15" i="4" s="1"/>
  <c r="N17" i="1"/>
  <c r="N16" i="1"/>
  <c r="L24" i="1"/>
  <c r="L22" i="1"/>
  <c r="N22" i="1"/>
  <c r="L21" i="1"/>
  <c r="N21" i="1"/>
  <c r="L20" i="1"/>
  <c r="N20" i="1"/>
  <c r="L19" i="1"/>
  <c r="N19" i="1"/>
  <c r="L18" i="1"/>
  <c r="N18" i="1"/>
  <c r="L17" i="1"/>
  <c r="L16" i="1"/>
  <c r="L15" i="1"/>
  <c r="N15" i="1"/>
  <c r="L14" i="1"/>
  <c r="N14" i="1"/>
  <c r="L13" i="1"/>
  <c r="N13" i="1"/>
  <c r="L12" i="1"/>
  <c r="N12" i="1"/>
  <c r="L11" i="1"/>
  <c r="N11" i="1"/>
  <c r="L10" i="1"/>
  <c r="N10" i="1"/>
  <c r="L9" i="1"/>
  <c r="N9" i="1"/>
  <c r="L8" i="1"/>
  <c r="N8" i="1"/>
  <c r="C15" i="3"/>
  <c r="E22" i="1"/>
  <c r="D22" i="1"/>
  <c r="C22" i="1"/>
  <c r="G26" i="1"/>
  <c r="H26" i="1"/>
  <c r="G25" i="1"/>
  <c r="H25" i="1"/>
  <c r="G24" i="1"/>
  <c r="H24" i="1"/>
  <c r="H23" i="1"/>
  <c r="G22" i="1"/>
  <c r="H22" i="1"/>
  <c r="G21" i="1"/>
  <c r="H21" i="1"/>
  <c r="G20" i="1"/>
  <c r="H20" i="1"/>
  <c r="H19" i="1"/>
  <c r="G18" i="1"/>
  <c r="H18" i="1"/>
  <c r="G17" i="1"/>
  <c r="H17" i="1"/>
  <c r="G16" i="1"/>
  <c r="H16" i="1"/>
  <c r="G15" i="1"/>
  <c r="H15" i="1"/>
  <c r="G14" i="1"/>
  <c r="H14" i="1"/>
  <c r="G13" i="1"/>
  <c r="H13" i="1"/>
  <c r="G12" i="1"/>
  <c r="H12" i="1"/>
  <c r="G11" i="1"/>
  <c r="H11" i="1"/>
  <c r="G10" i="1"/>
  <c r="H10" i="1"/>
  <c r="G9" i="1"/>
  <c r="H9" i="1"/>
  <c r="G8" i="1"/>
  <c r="H8" i="1"/>
  <c r="C16" i="4"/>
  <c r="C15" i="4"/>
  <c r="D8" i="4"/>
  <c r="D8" i="3"/>
  <c r="E16" i="3"/>
  <c r="E17" i="3"/>
  <c r="E18" i="3"/>
  <c r="E19" i="3"/>
  <c r="E20" i="3"/>
  <c r="F20" i="3" s="1"/>
  <c r="E21" i="3"/>
  <c r="F21" i="3" s="1"/>
  <c r="E23" i="3"/>
  <c r="E24" i="3"/>
  <c r="E25" i="3"/>
  <c r="E26" i="3"/>
  <c r="E27" i="3"/>
  <c r="F27" i="3" s="1"/>
  <c r="E28" i="3"/>
  <c r="E29" i="3"/>
  <c r="E30" i="3"/>
  <c r="C28" i="3"/>
  <c r="E15" i="3"/>
  <c r="E21" i="2"/>
  <c r="D21" i="2"/>
  <c r="C21" i="2"/>
  <c r="L22" i="2"/>
  <c r="C29" i="3"/>
  <c r="F29" i="3"/>
  <c r="L8" i="2"/>
  <c r="L9" i="2"/>
  <c r="C16" i="3"/>
  <c r="L10" i="2"/>
  <c r="C17" i="3"/>
  <c r="L11" i="2"/>
  <c r="C18" i="3"/>
  <c r="L12" i="2"/>
  <c r="C19" i="3"/>
  <c r="L13" i="2"/>
  <c r="C20" i="3"/>
  <c r="L14" i="2"/>
  <c r="C21" i="3"/>
  <c r="L16" i="2"/>
  <c r="C23" i="3"/>
  <c r="L17" i="2"/>
  <c r="C24" i="3"/>
  <c r="L19" i="2"/>
  <c r="C26" i="3"/>
  <c r="L20" i="2"/>
  <c r="C27" i="3"/>
  <c r="L24" i="2"/>
  <c r="L25" i="2"/>
  <c r="N24" i="2"/>
  <c r="N25" i="2"/>
  <c r="N17" i="2"/>
  <c r="N16" i="2"/>
  <c r="L21" i="2"/>
  <c r="L18" i="2"/>
  <c r="L15" i="2"/>
  <c r="N22" i="2"/>
  <c r="N21" i="2"/>
  <c r="N20" i="2"/>
  <c r="N19" i="2"/>
  <c r="N18" i="2"/>
  <c r="N15" i="2"/>
  <c r="N14" i="2"/>
  <c r="N13" i="2"/>
  <c r="N12" i="2"/>
  <c r="N11" i="2"/>
  <c r="N10" i="2"/>
  <c r="N9" i="2"/>
  <c r="N8" i="2"/>
  <c r="F15" i="4" l="1"/>
  <c r="F16" i="4"/>
  <c r="F26" i="4"/>
  <c r="F33" i="4"/>
  <c r="F31" i="4"/>
  <c r="F22" i="4"/>
  <c r="F20" i="4"/>
  <c r="F19" i="4"/>
  <c r="F23" i="4"/>
  <c r="F26" i="3"/>
  <c r="F24" i="3"/>
  <c r="F23" i="3"/>
  <c r="F18" i="3"/>
  <c r="F32" i="3"/>
  <c r="F15" i="3"/>
  <c r="F17" i="3"/>
  <c r="F16" i="3"/>
  <c r="F19" i="3"/>
  <c r="F35" i="4"/>
  <c r="F34" i="3"/>
  <c r="F36" i="3" l="1"/>
  <c r="F3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 Beal</author>
  </authors>
  <commentList>
    <comment ref="B8" authorId="0" shapeId="0" xr:uid="{549E106F-674F-4856-8013-EC174FA3BB2D}">
      <text>
        <r>
          <rPr>
            <sz val="9"/>
            <color indexed="81"/>
            <rFont val="Tahoma"/>
            <family val="2"/>
          </rPr>
          <t xml:space="preserve">Enter fence length in metres here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 Beal</author>
  </authors>
  <commentList>
    <comment ref="B8" authorId="0" shapeId="0" xr:uid="{4A3EFCA4-89E3-479A-B8BD-0E78189F254B}">
      <text>
        <r>
          <rPr>
            <sz val="9"/>
            <color indexed="81"/>
            <rFont val="Tahoma"/>
            <family val="2"/>
          </rPr>
          <t xml:space="preserve">Enter fence length in metres here
</t>
        </r>
      </text>
    </comment>
  </commentList>
</comments>
</file>

<file path=xl/sharedStrings.xml><?xml version="1.0" encoding="utf-8"?>
<sst xmlns="http://schemas.openxmlformats.org/spreadsheetml/2006/main" count="223" uniqueCount="106">
  <si>
    <t>Fence type 1</t>
  </si>
  <si>
    <t>Electric</t>
  </si>
  <si>
    <t>3 electric wires &amp; 4 dead wires</t>
  </si>
  <si>
    <t>Post spacing 5m</t>
  </si>
  <si>
    <t>All angles and strainers stayed</t>
  </si>
  <si>
    <t>PER 250m</t>
  </si>
  <si>
    <t>Approx 7km</t>
  </si>
  <si>
    <t>2.4m #2 Strainers</t>
  </si>
  <si>
    <t>2.1m #2 Strainers</t>
  </si>
  <si>
    <t>1.8m #1 1/2 rnd posts</t>
  </si>
  <si>
    <t>1.8m #1 1/4 rnd posts</t>
  </si>
  <si>
    <t>1.65m  Waratah</t>
  </si>
  <si>
    <t>3.66m 8mm barred Gate</t>
  </si>
  <si>
    <t>6m x 150 x 40 Rails</t>
  </si>
  <si>
    <t>./250m</t>
  </si>
  <si>
    <t>./1km</t>
  </si>
  <si>
    <t>./7km</t>
  </si>
  <si>
    <t>Conventional</t>
  </si>
  <si>
    <t>Post spacing 4.2m</t>
  </si>
  <si>
    <t>6 Plain wires &amp; 2 Braided</t>
  </si>
  <si>
    <t>1.1 50x50 battens</t>
  </si>
  <si>
    <t>Fence type 2</t>
  </si>
  <si>
    <t>Toms numbers</t>
  </si>
  <si>
    <t>./500m</t>
  </si>
  <si>
    <t>./100m</t>
  </si>
  <si>
    <t>2.4m Ptd No1 strainers </t>
  </si>
  <si>
    <t>2.4m No1 stays              </t>
  </si>
  <si>
    <t>1.5m Standards     (foot)         </t>
  </si>
  <si>
    <t xml:space="preserve">1.8m No1 ½ Rd (stay block)      </t>
  </si>
  <si>
    <t>1.8mNo1 ¼  (foots)</t>
  </si>
  <si>
    <t>1.8m No1 ½ Rds (stay blk)</t>
  </si>
  <si>
    <t>2.1m No3 No3 strnrs (angles) </t>
  </si>
  <si>
    <t>2.1m No2 stays                           </t>
  </si>
  <si>
    <t>Or</t>
  </si>
  <si>
    <t>Gates</t>
  </si>
  <si>
    <t>Gudgeons (1ea Lok thru/screw in)                    </t>
  </si>
  <si>
    <t xml:space="preserve">3.6m Std farm gate(inc latch)     </t>
  </si>
  <si>
    <t xml:space="preserve">2.4m Ptd No1 Strnr                       </t>
  </si>
  <si>
    <t xml:space="preserve">2.4m No1 stay                                </t>
  </si>
  <si>
    <t>1.5m Standard                                </t>
  </si>
  <si>
    <t xml:space="preserve">1.8m No1 ½   (stay blk)                 </t>
  </si>
  <si>
    <t>1.8m No1 Rds (or ¼ )          </t>
  </si>
  <si>
    <t>2.5 Ht wire       ( 650m coil)    </t>
  </si>
  <si>
    <t>4.0 mm wire    (250 coil)       </t>
  </si>
  <si>
    <t>150mm Barbed wire        </t>
  </si>
  <si>
    <t>30x3.15 Batten staples 5kg   </t>
  </si>
  <si>
    <t>50x4.0 Post staples 5kg              </t>
  </si>
  <si>
    <t>Fence length</t>
  </si>
  <si>
    <t>metres</t>
  </si>
  <si>
    <t>/m</t>
  </si>
  <si>
    <t>Required Fence Length</t>
  </si>
  <si>
    <t>Price</t>
  </si>
  <si>
    <t>Total</t>
  </si>
  <si>
    <t xml:space="preserve">HB Disaster Relief </t>
  </si>
  <si>
    <t>Check</t>
  </si>
  <si>
    <t>Code</t>
  </si>
  <si>
    <t>Quantity</t>
  </si>
  <si>
    <t>Fence Length in metres</t>
  </si>
  <si>
    <t>Subtotal</t>
  </si>
  <si>
    <t>GST</t>
  </si>
  <si>
    <t>Paul Griffiths</t>
  </si>
  <si>
    <t>Tumu Building Supplies Hastings</t>
  </si>
  <si>
    <t xml:space="preserve">Rural Sales Manager </t>
  </si>
  <si>
    <t>paul.griffiths@tumusupplies.co.nz</t>
  </si>
  <si>
    <t xml:space="preserve">Fencing Materials Estimate Based on Standard Fence </t>
  </si>
  <si>
    <t>2.4m #2 Strainers 175-200mm H4</t>
  </si>
  <si>
    <t>David Rumbal</t>
  </si>
  <si>
    <t xml:space="preserve">Rural Sales </t>
  </si>
  <si>
    <t>david.rumbal@tumusupplies.co.nz</t>
  </si>
  <si>
    <t>2.1m #2 Strainers 175-200mm H4</t>
  </si>
  <si>
    <t>1.8m #1 1/2 rnd posts 160-190mm H4</t>
  </si>
  <si>
    <t>1.8m #1 1/4 rnd posts 100-125mm H4</t>
  </si>
  <si>
    <t>Lock Through Post Gudgeon 20 x 275 x 50 Short Pin 7302</t>
  </si>
  <si>
    <t>Latch &amp; Staple 7700</t>
  </si>
  <si>
    <t>ea</t>
  </si>
  <si>
    <t>UOM</t>
  </si>
  <si>
    <t>Kilometre(s)</t>
  </si>
  <si>
    <t>Ecko T-REX17 Batten Screws 14g x 100mm Box 500 OutDoor Xguard Free Ruler</t>
  </si>
  <si>
    <t>Price ex GST</t>
  </si>
  <si>
    <t>Fencing Material</t>
  </si>
  <si>
    <t>Description</t>
  </si>
  <si>
    <t>m   =</t>
  </si>
  <si>
    <t>m =</t>
  </si>
  <si>
    <t>Wood Post Claw Joule Shield Insulator Bag 200</t>
  </si>
  <si>
    <t>Strainrite High Strain End Insulator Bag 25 FIN00017</t>
  </si>
  <si>
    <t xml:space="preserve">Cable Underground 2.5 x 8.3 mm x 50 m Extra HD on Reel FCA00282 (m) </t>
  </si>
  <si>
    <t>Stockade 33 x 3.15 mm Barbed Staples With Fuel Cell 2000 box</t>
  </si>
  <si>
    <t>50 mm x 4.00 mm Galvanised Barbed Staples 5 Kg Handy Pack</t>
  </si>
  <si>
    <t>roll</t>
  </si>
  <si>
    <t>Cable Underground 2.5 x 8.3 mm x 50 m Extra HD on Reel FCA00282</t>
  </si>
  <si>
    <t>pk</t>
  </si>
  <si>
    <t>bag</t>
  </si>
  <si>
    <t>150 x 40 mm Radiata H3.2 Sawn Merch Grade 6.0m Lengths (Rails)</t>
  </si>
  <si>
    <t>2.50 mm High Tensile Wiremark Wire 25 kg</t>
  </si>
  <si>
    <t>coil</t>
  </si>
  <si>
    <t>Braided Wire 2.50 mm Soft 25kg</t>
  </si>
  <si>
    <t>8 mm Medium Barred Gate 1.05 x 3.66 Metre 12 ft</t>
  </si>
  <si>
    <t>Strainrite Cliplock Standard Permanent Wire Strainer Each SST00050</t>
  </si>
  <si>
    <t>2.4 #2 Post 90-115mm H4 (stays)</t>
  </si>
  <si>
    <t>*Delivery not inluded but can be arranged on request.</t>
  </si>
  <si>
    <t>For a specific quote for materials please contact:</t>
  </si>
  <si>
    <t>Subject to contour of land and specific requirements please see contacts below for exact quantities</t>
  </si>
  <si>
    <t>Strainrite Cut Out Switch</t>
  </si>
  <si>
    <t>Strainrite Cutout switch</t>
  </si>
  <si>
    <t>MOB: 027 641 5459          DDI: 06 872 6253</t>
  </si>
  <si>
    <t>MOB: 027 880 4616          DDI: 06 872 6266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</si>
</sst>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;&quot;&quot;;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0" borderId="0" xfId="0" applyAlignment="1">
      <alignment vertical="center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1" xfId="0" applyBorder="1"/>
    <xf numFmtId="0" fontId="1" fillId="0" borderId="2" xfId="0" applyFont="1" applyBorder="1" applyAlignment="1">
      <alignment horizontal="right"/>
    </xf>
    <xf numFmtId="164" fontId="0" fillId="0" borderId="0" xfId="0" applyNumberFormat="1"/>
    <xf numFmtId="164" fontId="0" fillId="0" borderId="1" xfId="0" applyNumberFormat="1" applyBorder="1"/>
    <xf numFmtId="164" fontId="0" fillId="0" borderId="2" xfId="0" applyNumberFormat="1" applyBorder="1"/>
    <xf numFmtId="0" fontId="5" fillId="0" borderId="0" xfId="0" applyFont="1"/>
    <xf numFmtId="0" fontId="4" fillId="3" borderId="0" xfId="0" applyFont="1" applyFill="1" applyProtection="1">
      <protection locked="0"/>
    </xf>
    <xf numFmtId="1" fontId="0" fillId="0" borderId="0" xfId="0" applyNumberFormat="1" applyAlignment="1">
      <alignment horizontal="center"/>
    </xf>
    <xf numFmtId="0" fontId="3" fillId="0" borderId="0" xfId="1" applyProtection="1"/>
    <xf numFmtId="164" fontId="4" fillId="3" borderId="0" xfId="0" applyNumberFormat="1" applyFont="1" applyFill="1"/>
    <xf numFmtId="0" fontId="4" fillId="3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DDDDD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6</xdr:col>
      <xdr:colOff>75896</xdr:colOff>
      <xdr:row>3</xdr:row>
      <xdr:rowOff>133262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89AB31-89B3-7042-BA2D-DCA074604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7275" y="0"/>
          <a:ext cx="2428571" cy="704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6</xdr:col>
      <xdr:colOff>56846</xdr:colOff>
      <xdr:row>3</xdr:row>
      <xdr:rowOff>190412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D0369B-30A9-4851-931A-E559090D4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67275" y="57150"/>
          <a:ext cx="2428571" cy="7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david.rumbal@tumusupplies.co.nz" TargetMode="External"/><Relationship Id="rId1" Type="http://schemas.openxmlformats.org/officeDocument/2006/relationships/hyperlink" Target="mailto:paul.griffiths@tumusupplies.co.nz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david.rumbal@tumusupplies.co.nz" TargetMode="External"/><Relationship Id="rId1" Type="http://schemas.openxmlformats.org/officeDocument/2006/relationships/hyperlink" Target="mailto:paul.griffiths@tumusupplies.co.nz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28503-E5B7-4ABD-9CA4-F20E1ADD6516}">
  <dimension ref="A2:P26"/>
  <sheetViews>
    <sheetView workbookViewId="0">
      <selection activeCell="A24" sqref="A24"/>
    </sheetView>
  </sheetViews>
  <sheetFormatPr defaultRowHeight="15" x14ac:dyDescent="0.25"/>
  <cols>
    <col min="1" max="1" width="65.140625" bestFit="1" customWidth="1"/>
    <col min="2" max="2" width="6" bestFit="1" customWidth="1"/>
    <col min="7" max="7" width="9.140625" collapsed="1"/>
    <col min="12" max="12" width="9.140625" collapsed="1"/>
  </cols>
  <sheetData>
    <row r="2" spans="1:16" x14ac:dyDescent="0.25">
      <c r="A2" s="1" t="s">
        <v>5</v>
      </c>
      <c r="B2" s="1"/>
      <c r="N2" t="s">
        <v>54</v>
      </c>
    </row>
    <row r="3" spans="1:16" x14ac:dyDescent="0.25">
      <c r="A3" t="s">
        <v>0</v>
      </c>
      <c r="D3" t="s">
        <v>1</v>
      </c>
      <c r="E3" s="2" t="s">
        <v>6</v>
      </c>
      <c r="F3" s="2"/>
      <c r="G3" t="s">
        <v>47</v>
      </c>
      <c r="L3" t="s">
        <v>47</v>
      </c>
      <c r="N3" t="s">
        <v>50</v>
      </c>
    </row>
    <row r="4" spans="1:16" x14ac:dyDescent="0.25">
      <c r="A4" t="s">
        <v>2</v>
      </c>
      <c r="G4">
        <v>250</v>
      </c>
      <c r="L4">
        <v>250</v>
      </c>
      <c r="M4" t="s">
        <v>48</v>
      </c>
      <c r="N4">
        <v>7000</v>
      </c>
      <c r="O4" t="s">
        <v>48</v>
      </c>
    </row>
    <row r="5" spans="1:16" x14ac:dyDescent="0.25">
      <c r="A5" t="s">
        <v>3</v>
      </c>
    </row>
    <row r="6" spans="1:16" x14ac:dyDescent="0.25">
      <c r="A6" t="s">
        <v>4</v>
      </c>
      <c r="H6" t="s">
        <v>54</v>
      </c>
    </row>
    <row r="7" spans="1:16" x14ac:dyDescent="0.25">
      <c r="C7" t="s">
        <v>14</v>
      </c>
      <c r="D7" t="s">
        <v>15</v>
      </c>
      <c r="E7" t="s">
        <v>16</v>
      </c>
      <c r="G7" s="4" t="s">
        <v>49</v>
      </c>
      <c r="H7" s="4"/>
      <c r="I7" t="s">
        <v>51</v>
      </c>
      <c r="L7" s="4" t="s">
        <v>49</v>
      </c>
      <c r="O7" t="s">
        <v>51</v>
      </c>
      <c r="P7" t="s">
        <v>52</v>
      </c>
    </row>
    <row r="8" spans="1:16" x14ac:dyDescent="0.25">
      <c r="A8" t="s">
        <v>7</v>
      </c>
      <c r="B8">
        <v>2520</v>
      </c>
      <c r="C8">
        <v>2</v>
      </c>
      <c r="D8">
        <v>8</v>
      </c>
      <c r="E8">
        <v>56</v>
      </c>
      <c r="G8">
        <f t="shared" ref="G8:G23" si="0">C8/$G$4</f>
        <v>8.0000000000000002E-3</v>
      </c>
      <c r="H8">
        <f>+G8*$G$4</f>
        <v>2</v>
      </c>
      <c r="I8">
        <v>50.94</v>
      </c>
      <c r="L8">
        <f t="shared" ref="L8:L26" si="1">C8/$L$4</f>
        <v>8.0000000000000002E-3</v>
      </c>
      <c r="N8">
        <f>ROUNDUP(L8*$N$4,0)</f>
        <v>56</v>
      </c>
      <c r="O8">
        <f>_xlfn.XLOOKUP(B8,Conventional!B:B,Conventional!O:O)</f>
        <v>50.94</v>
      </c>
    </row>
    <row r="9" spans="1:16" x14ac:dyDescent="0.25">
      <c r="A9" t="s">
        <v>8</v>
      </c>
      <c r="B9">
        <v>2515</v>
      </c>
      <c r="C9">
        <v>2</v>
      </c>
      <c r="D9">
        <v>8</v>
      </c>
      <c r="E9">
        <v>56</v>
      </c>
      <c r="G9">
        <f t="shared" si="0"/>
        <v>8.0000000000000002E-3</v>
      </c>
      <c r="H9">
        <f t="shared" ref="H9:H26" si="2">+G9*$G$4</f>
        <v>2</v>
      </c>
      <c r="I9">
        <v>41.14</v>
      </c>
      <c r="L9">
        <f t="shared" si="1"/>
        <v>8.0000000000000002E-3</v>
      </c>
      <c r="N9">
        <f t="shared" ref="N9:N26" si="3">ROUNDUP(L9*$N$4,0)</f>
        <v>56</v>
      </c>
      <c r="O9">
        <f>_xlfn.XLOOKUP(B9,Conventional!B:B,Conventional!O:O)</f>
        <v>41.14</v>
      </c>
    </row>
    <row r="10" spans="1:16" x14ac:dyDescent="0.25">
      <c r="A10" t="s">
        <v>98</v>
      </c>
      <c r="B10">
        <v>2492</v>
      </c>
      <c r="C10">
        <v>4</v>
      </c>
      <c r="D10">
        <v>16</v>
      </c>
      <c r="E10">
        <v>112</v>
      </c>
      <c r="G10">
        <f t="shared" si="0"/>
        <v>1.6E-2</v>
      </c>
      <c r="H10">
        <f t="shared" si="2"/>
        <v>4</v>
      </c>
      <c r="L10">
        <f t="shared" si="1"/>
        <v>1.6E-2</v>
      </c>
      <c r="N10">
        <f t="shared" si="3"/>
        <v>112</v>
      </c>
      <c r="O10">
        <f>_xlfn.XLOOKUP(B10,Conventional!B:B,Conventional!O:O)</f>
        <v>23.05</v>
      </c>
    </row>
    <row r="11" spans="1:16" x14ac:dyDescent="0.25">
      <c r="A11" t="s">
        <v>9</v>
      </c>
      <c r="B11">
        <v>2477</v>
      </c>
      <c r="C11">
        <v>6</v>
      </c>
      <c r="D11">
        <v>24</v>
      </c>
      <c r="E11">
        <v>168</v>
      </c>
      <c r="G11">
        <f t="shared" si="0"/>
        <v>2.4E-2</v>
      </c>
      <c r="H11">
        <f t="shared" si="2"/>
        <v>6</v>
      </c>
      <c r="I11">
        <v>11.84</v>
      </c>
      <c r="L11">
        <f t="shared" si="1"/>
        <v>2.4E-2</v>
      </c>
      <c r="N11">
        <f t="shared" si="3"/>
        <v>168</v>
      </c>
      <c r="O11">
        <f>_xlfn.XLOOKUP(B11,Conventional!B:B,Conventional!O:O)</f>
        <v>11.84</v>
      </c>
    </row>
    <row r="12" spans="1:16" x14ac:dyDescent="0.25">
      <c r="A12" t="s">
        <v>10</v>
      </c>
      <c r="B12">
        <v>2482</v>
      </c>
      <c r="C12">
        <v>50</v>
      </c>
      <c r="D12">
        <v>200</v>
      </c>
      <c r="E12">
        <v>1400</v>
      </c>
      <c r="G12">
        <f t="shared" si="0"/>
        <v>0.2</v>
      </c>
      <c r="H12">
        <f t="shared" si="2"/>
        <v>50</v>
      </c>
      <c r="I12">
        <v>11.2</v>
      </c>
      <c r="L12">
        <f t="shared" si="1"/>
        <v>0.2</v>
      </c>
      <c r="N12">
        <f t="shared" si="3"/>
        <v>1400</v>
      </c>
      <c r="O12">
        <f>_xlfn.XLOOKUP(B12,Conventional!B:B,Conventional!O:O)</f>
        <v>11.2</v>
      </c>
    </row>
    <row r="13" spans="1:16" x14ac:dyDescent="0.25">
      <c r="A13" t="s">
        <v>11</v>
      </c>
      <c r="B13">
        <v>27971</v>
      </c>
      <c r="C13">
        <v>4</v>
      </c>
      <c r="D13">
        <v>16</v>
      </c>
      <c r="E13">
        <v>112</v>
      </c>
      <c r="G13">
        <f t="shared" si="0"/>
        <v>1.6E-2</v>
      </c>
      <c r="H13">
        <f t="shared" si="2"/>
        <v>4</v>
      </c>
      <c r="I13">
        <v>9</v>
      </c>
      <c r="L13">
        <f t="shared" si="1"/>
        <v>1.6E-2</v>
      </c>
      <c r="N13">
        <f t="shared" si="3"/>
        <v>112</v>
      </c>
      <c r="O13">
        <f>_xlfn.XLOOKUP(B13,Conventional!B:B,Conventional!O:O)</f>
        <v>9</v>
      </c>
    </row>
    <row r="14" spans="1:16" x14ac:dyDescent="0.25">
      <c r="G14">
        <f t="shared" si="0"/>
        <v>0</v>
      </c>
      <c r="H14">
        <f t="shared" si="2"/>
        <v>0</v>
      </c>
      <c r="L14">
        <f t="shared" si="1"/>
        <v>0</v>
      </c>
      <c r="N14">
        <f t="shared" si="3"/>
        <v>0</v>
      </c>
      <c r="O14">
        <f>_xlfn.XLOOKUP(B14,Conventional!B:B,Conventional!O:O)</f>
        <v>0</v>
      </c>
    </row>
    <row r="15" spans="1:16" x14ac:dyDescent="0.25">
      <c r="A15" t="s">
        <v>93</v>
      </c>
      <c r="B15">
        <v>76507</v>
      </c>
      <c r="C15">
        <v>3</v>
      </c>
      <c r="D15">
        <v>12</v>
      </c>
      <c r="E15">
        <v>84</v>
      </c>
      <c r="G15">
        <f t="shared" si="0"/>
        <v>1.2E-2</v>
      </c>
      <c r="H15">
        <f t="shared" si="2"/>
        <v>3</v>
      </c>
      <c r="I15">
        <v>95</v>
      </c>
      <c r="L15">
        <f t="shared" si="1"/>
        <v>1.2E-2</v>
      </c>
      <c r="N15">
        <f t="shared" si="3"/>
        <v>84</v>
      </c>
      <c r="O15">
        <f>_xlfn.XLOOKUP(B15,Conventional!B:B,Conventional!O:O)</f>
        <v>95</v>
      </c>
    </row>
    <row r="16" spans="1:16" x14ac:dyDescent="0.25">
      <c r="A16" t="s">
        <v>83</v>
      </c>
      <c r="B16">
        <v>36145</v>
      </c>
      <c r="C16">
        <v>160</v>
      </c>
      <c r="D16">
        <v>640</v>
      </c>
      <c r="E16">
        <v>4480</v>
      </c>
      <c r="G16">
        <f t="shared" si="0"/>
        <v>0.64</v>
      </c>
      <c r="H16">
        <f t="shared" si="2"/>
        <v>160</v>
      </c>
      <c r="I16">
        <v>108.7</v>
      </c>
      <c r="L16">
        <f t="shared" si="1"/>
        <v>0.64</v>
      </c>
      <c r="N16">
        <f>ROUNDUP(L16*$N$4/200,0)</f>
        <v>23</v>
      </c>
      <c r="O16" s="19">
        <v>108.7</v>
      </c>
    </row>
    <row r="17" spans="1:15" x14ac:dyDescent="0.25">
      <c r="A17" t="s">
        <v>84</v>
      </c>
      <c r="B17">
        <v>36748</v>
      </c>
      <c r="C17">
        <v>6</v>
      </c>
      <c r="D17">
        <v>24</v>
      </c>
      <c r="E17">
        <v>168</v>
      </c>
      <c r="G17">
        <f t="shared" si="0"/>
        <v>2.4E-2</v>
      </c>
      <c r="H17">
        <f t="shared" si="2"/>
        <v>6</v>
      </c>
      <c r="L17">
        <f t="shared" si="1"/>
        <v>2.4E-2</v>
      </c>
      <c r="N17">
        <f>ROUNDUP(L17*$N$4/25,0)</f>
        <v>7</v>
      </c>
      <c r="O17" s="19">
        <v>67.5</v>
      </c>
    </row>
    <row r="18" spans="1:15" x14ac:dyDescent="0.25">
      <c r="A18" t="s">
        <v>97</v>
      </c>
      <c r="B18">
        <v>16123</v>
      </c>
      <c r="C18">
        <v>7</v>
      </c>
      <c r="D18">
        <v>28</v>
      </c>
      <c r="E18">
        <v>196</v>
      </c>
      <c r="G18">
        <f t="shared" si="0"/>
        <v>2.8000000000000001E-2</v>
      </c>
      <c r="H18">
        <f t="shared" si="2"/>
        <v>7</v>
      </c>
      <c r="L18">
        <f t="shared" si="1"/>
        <v>2.8000000000000001E-2</v>
      </c>
      <c r="N18">
        <f t="shared" si="3"/>
        <v>196</v>
      </c>
      <c r="O18" s="19">
        <v>3.5</v>
      </c>
    </row>
    <row r="19" spans="1:15" x14ac:dyDescent="0.25">
      <c r="A19" t="s">
        <v>102</v>
      </c>
      <c r="B19">
        <v>40851</v>
      </c>
      <c r="C19">
        <v>1</v>
      </c>
      <c r="D19">
        <v>4</v>
      </c>
      <c r="E19">
        <v>32</v>
      </c>
      <c r="G19">
        <f t="shared" si="0"/>
        <v>4.0000000000000001E-3</v>
      </c>
      <c r="H19">
        <f t="shared" si="2"/>
        <v>1</v>
      </c>
      <c r="L19">
        <f t="shared" si="1"/>
        <v>4.0000000000000001E-3</v>
      </c>
      <c r="N19">
        <f t="shared" si="3"/>
        <v>28</v>
      </c>
      <c r="O19" s="19">
        <v>15.5</v>
      </c>
    </row>
    <row r="20" spans="1:15" x14ac:dyDescent="0.25">
      <c r="A20" t="s">
        <v>12</v>
      </c>
      <c r="B20">
        <v>73270</v>
      </c>
      <c r="C20">
        <v>1</v>
      </c>
      <c r="D20">
        <v>4</v>
      </c>
      <c r="E20">
        <v>32</v>
      </c>
      <c r="G20">
        <f t="shared" si="0"/>
        <v>4.0000000000000001E-3</v>
      </c>
      <c r="H20">
        <f t="shared" si="2"/>
        <v>1</v>
      </c>
      <c r="I20">
        <v>241.06</v>
      </c>
      <c r="L20">
        <f t="shared" si="1"/>
        <v>4.0000000000000001E-3</v>
      </c>
      <c r="N20">
        <f t="shared" si="3"/>
        <v>28</v>
      </c>
      <c r="O20">
        <f>_xlfn.XLOOKUP(B20,Conventional!B:B,Conventional!O:O)</f>
        <v>241.06</v>
      </c>
    </row>
    <row r="21" spans="1:15" x14ac:dyDescent="0.25">
      <c r="A21" t="s">
        <v>72</v>
      </c>
      <c r="B21">
        <v>6383</v>
      </c>
      <c r="C21">
        <v>1</v>
      </c>
      <c r="D21">
        <v>4</v>
      </c>
      <c r="E21">
        <v>32</v>
      </c>
      <c r="G21">
        <f t="shared" si="0"/>
        <v>4.0000000000000001E-3</v>
      </c>
      <c r="H21">
        <f t="shared" si="2"/>
        <v>1</v>
      </c>
      <c r="I21">
        <v>19.91</v>
      </c>
      <c r="L21">
        <f t="shared" si="1"/>
        <v>4.0000000000000001E-3</v>
      </c>
      <c r="N21">
        <f t="shared" si="3"/>
        <v>28</v>
      </c>
      <c r="O21">
        <f>_xlfn.XLOOKUP(B21,Conventional!B:B,Conventional!O:O)</f>
        <v>19.91</v>
      </c>
    </row>
    <row r="22" spans="1:15" x14ac:dyDescent="0.25">
      <c r="A22" t="s">
        <v>73</v>
      </c>
      <c r="B22">
        <v>6357</v>
      </c>
      <c r="C22">
        <f>C21</f>
        <v>1</v>
      </c>
      <c r="D22">
        <f>D21</f>
        <v>4</v>
      </c>
      <c r="E22">
        <f>E21</f>
        <v>32</v>
      </c>
      <c r="G22">
        <f t="shared" si="0"/>
        <v>4.0000000000000001E-3</v>
      </c>
      <c r="H22">
        <f t="shared" si="2"/>
        <v>1</v>
      </c>
      <c r="I22">
        <v>9.11</v>
      </c>
      <c r="L22">
        <f t="shared" si="1"/>
        <v>4.0000000000000001E-3</v>
      </c>
      <c r="N22">
        <f t="shared" si="3"/>
        <v>28</v>
      </c>
      <c r="O22">
        <f>_xlfn.XLOOKUP(B22,Conventional!B:B,Conventional!O:O)</f>
        <v>9.11</v>
      </c>
    </row>
    <row r="23" spans="1:15" x14ac:dyDescent="0.25">
      <c r="A23" t="s">
        <v>92</v>
      </c>
      <c r="B23">
        <v>28021</v>
      </c>
      <c r="C23">
        <v>4</v>
      </c>
      <c r="D23">
        <v>16</v>
      </c>
      <c r="E23">
        <v>112</v>
      </c>
      <c r="G23">
        <f t="shared" si="0"/>
        <v>1.6E-2</v>
      </c>
      <c r="H23">
        <f t="shared" si="2"/>
        <v>4</v>
      </c>
      <c r="I23">
        <v>34.74</v>
      </c>
      <c r="L23">
        <f t="shared" si="1"/>
        <v>1.6E-2</v>
      </c>
      <c r="N23">
        <f t="shared" si="3"/>
        <v>112</v>
      </c>
      <c r="O23">
        <f>_xlfn.XLOOKUP(B23,Conventional!B:B,Conventional!O:O)</f>
        <v>34.74</v>
      </c>
    </row>
    <row r="24" spans="1:15" x14ac:dyDescent="0.25">
      <c r="A24" t="s">
        <v>85</v>
      </c>
      <c r="B24">
        <v>51218</v>
      </c>
      <c r="C24">
        <v>5</v>
      </c>
      <c r="D24">
        <v>20</v>
      </c>
      <c r="E24">
        <v>140</v>
      </c>
      <c r="G24">
        <f>C24/$G$4</f>
        <v>0.02</v>
      </c>
      <c r="H24">
        <f t="shared" si="2"/>
        <v>5</v>
      </c>
      <c r="L24">
        <f t="shared" si="1"/>
        <v>0.02</v>
      </c>
      <c r="N24">
        <f>ROUNDUP(L24*$N$4/50,0)</f>
        <v>3</v>
      </c>
      <c r="O24" s="19">
        <v>96.26</v>
      </c>
    </row>
    <row r="25" spans="1:15" x14ac:dyDescent="0.25">
      <c r="G25">
        <f>C25/$G$4</f>
        <v>0</v>
      </c>
      <c r="H25">
        <f t="shared" si="2"/>
        <v>0</v>
      </c>
    </row>
    <row r="26" spans="1:15" x14ac:dyDescent="0.25">
      <c r="A26" t="s">
        <v>87</v>
      </c>
      <c r="B26">
        <v>5994</v>
      </c>
      <c r="C26">
        <v>0.5</v>
      </c>
      <c r="D26">
        <v>2</v>
      </c>
      <c r="E26">
        <v>14</v>
      </c>
      <c r="G26">
        <f>C26/$G$4</f>
        <v>2E-3</v>
      </c>
      <c r="H26">
        <f t="shared" si="2"/>
        <v>0.5</v>
      </c>
      <c r="L26">
        <f t="shared" si="1"/>
        <v>2E-3</v>
      </c>
      <c r="N26">
        <f t="shared" si="3"/>
        <v>14</v>
      </c>
      <c r="O26">
        <f>_xlfn.XLOOKUP(B26,Conventional!B:B,Conventional!O:O)</f>
        <v>45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7FE49-FE2D-4808-8CA1-D4F077815427}">
  <dimension ref="A1:P33"/>
  <sheetViews>
    <sheetView workbookViewId="0">
      <selection activeCell="A10" sqref="A10"/>
    </sheetView>
  </sheetViews>
  <sheetFormatPr defaultRowHeight="15" outlineLevelCol="1" x14ac:dyDescent="0.25"/>
  <cols>
    <col min="1" max="1" width="70.28515625" bestFit="1" customWidth="1"/>
    <col min="2" max="2" width="9.140625" customWidth="1"/>
    <col min="4" max="4" width="13.42578125" customWidth="1"/>
    <col min="7" max="7" width="41" hidden="1" customWidth="1" outlineLevel="1"/>
    <col min="8" max="11" width="9.140625" hidden="1" customWidth="1" outlineLevel="1"/>
    <col min="12" max="12" width="9.140625" collapsed="1"/>
  </cols>
  <sheetData>
    <row r="1" spans="1:16" x14ac:dyDescent="0.25">
      <c r="A1" t="s">
        <v>79</v>
      </c>
    </row>
    <row r="2" spans="1:16" x14ac:dyDescent="0.25">
      <c r="A2" s="1" t="s">
        <v>5</v>
      </c>
      <c r="B2" s="1"/>
      <c r="N2" t="s">
        <v>54</v>
      </c>
    </row>
    <row r="3" spans="1:16" x14ac:dyDescent="0.25">
      <c r="A3" t="s">
        <v>21</v>
      </c>
      <c r="D3" t="s">
        <v>17</v>
      </c>
      <c r="E3" s="2" t="s">
        <v>6</v>
      </c>
      <c r="F3" s="2"/>
      <c r="L3" t="s">
        <v>47</v>
      </c>
      <c r="N3" t="s">
        <v>50</v>
      </c>
    </row>
    <row r="4" spans="1:16" x14ac:dyDescent="0.25">
      <c r="A4" t="s">
        <v>19</v>
      </c>
      <c r="L4">
        <v>250</v>
      </c>
      <c r="M4" t="s">
        <v>48</v>
      </c>
      <c r="N4">
        <v>250</v>
      </c>
      <c r="O4" t="s">
        <v>48</v>
      </c>
    </row>
    <row r="5" spans="1:16" x14ac:dyDescent="0.25">
      <c r="A5" t="s">
        <v>18</v>
      </c>
    </row>
    <row r="6" spans="1:16" x14ac:dyDescent="0.25">
      <c r="A6" t="s">
        <v>4</v>
      </c>
      <c r="G6" t="s">
        <v>22</v>
      </c>
    </row>
    <row r="7" spans="1:16" x14ac:dyDescent="0.25">
      <c r="C7" t="s">
        <v>14</v>
      </c>
      <c r="D7" t="s">
        <v>15</v>
      </c>
      <c r="E7" t="s">
        <v>16</v>
      </c>
      <c r="H7" t="s">
        <v>23</v>
      </c>
      <c r="I7" t="s">
        <v>24</v>
      </c>
      <c r="L7" s="4" t="s">
        <v>49</v>
      </c>
      <c r="O7" t="s">
        <v>51</v>
      </c>
      <c r="P7" t="s">
        <v>52</v>
      </c>
    </row>
    <row r="8" spans="1:16" x14ac:dyDescent="0.25">
      <c r="A8" t="s">
        <v>65</v>
      </c>
      <c r="B8">
        <v>2520</v>
      </c>
      <c r="C8">
        <v>2</v>
      </c>
      <c r="D8">
        <v>8</v>
      </c>
      <c r="E8">
        <v>56</v>
      </c>
      <c r="G8" t="s">
        <v>25</v>
      </c>
      <c r="H8">
        <v>2</v>
      </c>
      <c r="I8">
        <v>2</v>
      </c>
      <c r="L8">
        <f t="shared" ref="L8:L25" si="0">C8/$L$4</f>
        <v>8.0000000000000002E-3</v>
      </c>
      <c r="N8">
        <f>ROUNDUP(L8*$N$4,0)</f>
        <v>2</v>
      </c>
      <c r="O8" s="18">
        <v>50.94</v>
      </c>
    </row>
    <row r="9" spans="1:16" x14ac:dyDescent="0.25">
      <c r="A9" t="s">
        <v>69</v>
      </c>
      <c r="B9">
        <v>2515</v>
      </c>
      <c r="C9">
        <v>2</v>
      </c>
      <c r="D9">
        <v>8</v>
      </c>
      <c r="E9">
        <v>56</v>
      </c>
      <c r="G9" s="3" t="s">
        <v>32</v>
      </c>
      <c r="H9">
        <v>2</v>
      </c>
      <c r="L9">
        <f t="shared" si="0"/>
        <v>8.0000000000000002E-3</v>
      </c>
      <c r="N9">
        <f t="shared" ref="N9:N25" si="1">ROUNDUP(L9*$N$4,0)</f>
        <v>2</v>
      </c>
      <c r="O9" s="18">
        <v>41.14</v>
      </c>
    </row>
    <row r="10" spans="1:16" x14ac:dyDescent="0.25">
      <c r="A10" t="s">
        <v>98</v>
      </c>
      <c r="B10">
        <v>2492</v>
      </c>
      <c r="C10">
        <v>4</v>
      </c>
      <c r="D10">
        <v>16</v>
      </c>
      <c r="E10">
        <v>112</v>
      </c>
      <c r="G10" t="s">
        <v>26</v>
      </c>
      <c r="H10">
        <v>2</v>
      </c>
      <c r="I10">
        <v>2</v>
      </c>
      <c r="L10">
        <f t="shared" si="0"/>
        <v>1.6E-2</v>
      </c>
      <c r="N10">
        <f t="shared" si="1"/>
        <v>4</v>
      </c>
      <c r="O10" s="18">
        <v>23.05</v>
      </c>
    </row>
    <row r="11" spans="1:16" x14ac:dyDescent="0.25">
      <c r="A11" t="s">
        <v>70</v>
      </c>
      <c r="B11">
        <v>2477</v>
      </c>
      <c r="C11">
        <v>8</v>
      </c>
      <c r="D11">
        <v>32</v>
      </c>
      <c r="E11">
        <v>224</v>
      </c>
      <c r="G11" t="s">
        <v>28</v>
      </c>
      <c r="H11">
        <v>2</v>
      </c>
      <c r="I11">
        <v>2</v>
      </c>
      <c r="L11">
        <f t="shared" si="0"/>
        <v>3.2000000000000001E-2</v>
      </c>
      <c r="N11">
        <f t="shared" si="1"/>
        <v>8</v>
      </c>
      <c r="O11" s="18">
        <v>11.84</v>
      </c>
    </row>
    <row r="12" spans="1:16" x14ac:dyDescent="0.25">
      <c r="A12" t="s">
        <v>71</v>
      </c>
      <c r="B12">
        <v>2482</v>
      </c>
      <c r="C12">
        <v>60</v>
      </c>
      <c r="D12">
        <v>240</v>
      </c>
      <c r="E12">
        <v>1680</v>
      </c>
      <c r="G12" s="3" t="s">
        <v>41</v>
      </c>
      <c r="H12">
        <v>90</v>
      </c>
      <c r="I12">
        <v>20</v>
      </c>
      <c r="L12">
        <f t="shared" si="0"/>
        <v>0.24</v>
      </c>
      <c r="N12">
        <f t="shared" si="1"/>
        <v>60</v>
      </c>
      <c r="O12" s="18">
        <v>11.2</v>
      </c>
    </row>
    <row r="13" spans="1:16" x14ac:dyDescent="0.25">
      <c r="A13" t="s">
        <v>11</v>
      </c>
      <c r="B13">
        <v>27971</v>
      </c>
      <c r="C13">
        <v>4</v>
      </c>
      <c r="D13">
        <v>16</v>
      </c>
      <c r="E13">
        <v>112</v>
      </c>
      <c r="G13" s="3" t="s">
        <v>31</v>
      </c>
      <c r="H13">
        <v>2</v>
      </c>
      <c r="L13">
        <f t="shared" si="0"/>
        <v>1.6E-2</v>
      </c>
      <c r="N13">
        <f t="shared" si="1"/>
        <v>4</v>
      </c>
      <c r="O13" s="18">
        <v>9</v>
      </c>
    </row>
    <row r="14" spans="1:16" x14ac:dyDescent="0.25">
      <c r="A14" t="s">
        <v>20</v>
      </c>
      <c r="B14">
        <v>4679</v>
      </c>
      <c r="C14">
        <v>240</v>
      </c>
      <c r="D14">
        <v>960</v>
      </c>
      <c r="E14">
        <v>6720</v>
      </c>
      <c r="G14" t="s">
        <v>27</v>
      </c>
      <c r="H14">
        <v>1</v>
      </c>
      <c r="I14">
        <v>1</v>
      </c>
      <c r="L14">
        <f t="shared" si="0"/>
        <v>0.96</v>
      </c>
      <c r="N14">
        <f t="shared" si="1"/>
        <v>240</v>
      </c>
      <c r="O14" s="18">
        <v>1.98</v>
      </c>
    </row>
    <row r="15" spans="1:16" x14ac:dyDescent="0.25">
      <c r="G15" s="3" t="s">
        <v>29</v>
      </c>
      <c r="L15">
        <f t="shared" si="0"/>
        <v>0</v>
      </c>
      <c r="N15">
        <f t="shared" si="1"/>
        <v>0</v>
      </c>
      <c r="O15" s="18"/>
    </row>
    <row r="16" spans="1:16" x14ac:dyDescent="0.25">
      <c r="A16" t="s">
        <v>93</v>
      </c>
      <c r="B16">
        <v>76507</v>
      </c>
      <c r="C16">
        <v>2.5</v>
      </c>
      <c r="D16">
        <v>10</v>
      </c>
      <c r="E16">
        <v>70</v>
      </c>
      <c r="G16" s="3" t="s">
        <v>30</v>
      </c>
      <c r="L16">
        <f t="shared" si="0"/>
        <v>0.01</v>
      </c>
      <c r="N16">
        <f>ROUNDUP(L16*$N$4,2)</f>
        <v>2.5</v>
      </c>
      <c r="O16" s="18">
        <v>95</v>
      </c>
    </row>
    <row r="17" spans="1:15" x14ac:dyDescent="0.25">
      <c r="A17" t="s">
        <v>95</v>
      </c>
      <c r="B17">
        <v>51122</v>
      </c>
      <c r="C17">
        <v>1.5</v>
      </c>
      <c r="D17">
        <v>6</v>
      </c>
      <c r="E17">
        <v>42</v>
      </c>
      <c r="G17" s="3" t="s">
        <v>42</v>
      </c>
      <c r="H17">
        <v>5</v>
      </c>
      <c r="I17">
        <v>1</v>
      </c>
      <c r="L17">
        <f t="shared" si="0"/>
        <v>6.0000000000000001E-3</v>
      </c>
      <c r="N17">
        <f>ROUNDUP(L17*$N$4,2)</f>
        <v>1.5</v>
      </c>
      <c r="O17" s="18">
        <v>204.53</v>
      </c>
    </row>
    <row r="18" spans="1:15" x14ac:dyDescent="0.25">
      <c r="G18" s="3" t="s">
        <v>33</v>
      </c>
      <c r="L18">
        <f t="shared" si="0"/>
        <v>0</v>
      </c>
      <c r="N18">
        <f t="shared" si="1"/>
        <v>0</v>
      </c>
      <c r="O18" s="18"/>
    </row>
    <row r="19" spans="1:15" x14ac:dyDescent="0.25">
      <c r="A19" t="s">
        <v>96</v>
      </c>
      <c r="B19">
        <v>73270</v>
      </c>
      <c r="C19">
        <v>1</v>
      </c>
      <c r="D19">
        <v>4</v>
      </c>
      <c r="E19">
        <v>32</v>
      </c>
      <c r="G19" s="3" t="s">
        <v>43</v>
      </c>
      <c r="H19">
        <v>12</v>
      </c>
      <c r="I19">
        <v>2</v>
      </c>
      <c r="L19">
        <f t="shared" si="0"/>
        <v>4.0000000000000001E-3</v>
      </c>
      <c r="N19">
        <f t="shared" si="1"/>
        <v>1</v>
      </c>
      <c r="O19" s="18">
        <v>241.06</v>
      </c>
    </row>
    <row r="20" spans="1:15" x14ac:dyDescent="0.25">
      <c r="A20" t="s">
        <v>72</v>
      </c>
      <c r="B20">
        <v>6383</v>
      </c>
      <c r="C20">
        <v>1</v>
      </c>
      <c r="D20">
        <v>4</v>
      </c>
      <c r="E20">
        <v>32</v>
      </c>
      <c r="G20" s="3"/>
      <c r="L20">
        <f t="shared" si="0"/>
        <v>4.0000000000000001E-3</v>
      </c>
      <c r="N20">
        <f t="shared" si="1"/>
        <v>1</v>
      </c>
      <c r="O20" s="18">
        <v>19.91</v>
      </c>
    </row>
    <row r="21" spans="1:15" x14ac:dyDescent="0.25">
      <c r="A21" t="s">
        <v>73</v>
      </c>
      <c r="B21">
        <v>6357</v>
      </c>
      <c r="C21">
        <f>C19</f>
        <v>1</v>
      </c>
      <c r="D21">
        <f>D19</f>
        <v>4</v>
      </c>
      <c r="E21">
        <f>E19</f>
        <v>32</v>
      </c>
      <c r="G21" s="3" t="s">
        <v>44</v>
      </c>
      <c r="H21">
        <v>2</v>
      </c>
      <c r="I21">
        <v>1</v>
      </c>
      <c r="L21">
        <f t="shared" si="0"/>
        <v>4.0000000000000001E-3</v>
      </c>
      <c r="N21">
        <f t="shared" si="1"/>
        <v>1</v>
      </c>
      <c r="O21" s="18">
        <v>9.11</v>
      </c>
    </row>
    <row r="22" spans="1:15" x14ac:dyDescent="0.25">
      <c r="A22" t="s">
        <v>92</v>
      </c>
      <c r="B22">
        <v>28021</v>
      </c>
      <c r="C22">
        <v>4</v>
      </c>
      <c r="D22">
        <v>16</v>
      </c>
      <c r="E22">
        <v>112</v>
      </c>
      <c r="G22" s="3"/>
      <c r="L22">
        <f t="shared" si="0"/>
        <v>1.6E-2</v>
      </c>
      <c r="N22">
        <f t="shared" si="1"/>
        <v>4</v>
      </c>
      <c r="O22" s="18">
        <v>34.74</v>
      </c>
    </row>
    <row r="23" spans="1:15" x14ac:dyDescent="0.25">
      <c r="G23" s="3"/>
      <c r="O23" s="18"/>
    </row>
    <row r="24" spans="1:15" x14ac:dyDescent="0.25">
      <c r="A24" t="s">
        <v>87</v>
      </c>
      <c r="B24">
        <v>5994</v>
      </c>
      <c r="C24">
        <v>0.5</v>
      </c>
      <c r="D24">
        <v>2</v>
      </c>
      <c r="E24">
        <v>14</v>
      </c>
      <c r="G24" s="3" t="s">
        <v>46</v>
      </c>
      <c r="H24">
        <v>2</v>
      </c>
      <c r="I24">
        <v>1</v>
      </c>
      <c r="L24">
        <f t="shared" si="0"/>
        <v>2E-3</v>
      </c>
      <c r="N24">
        <f>ROUNDUP(L24*$N$4,2)</f>
        <v>0.5</v>
      </c>
      <c r="O24" s="18">
        <v>45</v>
      </c>
    </row>
    <row r="25" spans="1:15" x14ac:dyDescent="0.25">
      <c r="A25" t="s">
        <v>86</v>
      </c>
      <c r="B25">
        <v>63668</v>
      </c>
      <c r="C25">
        <v>1</v>
      </c>
      <c r="D25">
        <v>4</v>
      </c>
      <c r="E25">
        <v>32</v>
      </c>
      <c r="G25" s="3" t="s">
        <v>45</v>
      </c>
      <c r="H25">
        <v>6</v>
      </c>
      <c r="I25">
        <v>2</v>
      </c>
      <c r="L25">
        <f t="shared" si="0"/>
        <v>4.0000000000000001E-3</v>
      </c>
      <c r="N25">
        <f t="shared" si="1"/>
        <v>1</v>
      </c>
      <c r="O25" s="18">
        <v>143.26</v>
      </c>
    </row>
    <row r="26" spans="1:15" x14ac:dyDescent="0.25">
      <c r="A26" t="s">
        <v>77</v>
      </c>
      <c r="B26">
        <v>88720</v>
      </c>
      <c r="G26" s="3"/>
      <c r="O26" s="18">
        <v>93.02</v>
      </c>
    </row>
    <row r="27" spans="1:15" x14ac:dyDescent="0.25">
      <c r="G27" s="3" t="s">
        <v>34</v>
      </c>
      <c r="O27" s="18"/>
    </row>
    <row r="28" spans="1:15" x14ac:dyDescent="0.25">
      <c r="G28" s="3" t="s">
        <v>36</v>
      </c>
      <c r="H28">
        <v>1</v>
      </c>
    </row>
    <row r="29" spans="1:15" x14ac:dyDescent="0.25">
      <c r="G29" s="3" t="s">
        <v>37</v>
      </c>
      <c r="H29">
        <v>1</v>
      </c>
    </row>
    <row r="30" spans="1:15" x14ac:dyDescent="0.25">
      <c r="G30" s="3" t="s">
        <v>38</v>
      </c>
      <c r="H30">
        <v>1</v>
      </c>
    </row>
    <row r="31" spans="1:15" x14ac:dyDescent="0.25">
      <c r="G31" s="3" t="s">
        <v>39</v>
      </c>
      <c r="H31">
        <v>1</v>
      </c>
    </row>
    <row r="32" spans="1:15" x14ac:dyDescent="0.25">
      <c r="G32" s="3" t="s">
        <v>40</v>
      </c>
      <c r="H32">
        <v>1</v>
      </c>
    </row>
    <row r="33" spans="7:8" x14ac:dyDescent="0.25">
      <c r="G33" s="3" t="s">
        <v>35</v>
      </c>
      <c r="H33">
        <v>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FE47C-20F9-49AC-B0F6-F25F22755CC2}">
  <sheetPr>
    <pageSetUpPr fitToPage="1"/>
  </sheetPr>
  <dimension ref="A4:F45"/>
  <sheetViews>
    <sheetView tabSelected="1" workbookViewId="0">
      <selection activeCell="B8" sqref="B8"/>
    </sheetView>
  </sheetViews>
  <sheetFormatPr defaultRowHeight="15" x14ac:dyDescent="0.25"/>
  <cols>
    <col min="1" max="1" width="59.5703125" bestFit="1" customWidth="1"/>
    <col min="2" max="2" width="9.7109375" customWidth="1"/>
    <col min="3" max="3" width="8.7109375" bestFit="1" customWidth="1"/>
    <col min="4" max="4" width="5.7109375" bestFit="1" customWidth="1"/>
    <col min="5" max="5" width="12.140625" bestFit="1" customWidth="1"/>
    <col min="6" max="6" width="12.42578125" customWidth="1"/>
    <col min="7" max="7" width="1.7109375" customWidth="1"/>
    <col min="9" max="11" width="5.85546875" customWidth="1"/>
  </cols>
  <sheetData>
    <row r="4" spans="1:6" ht="18.75" x14ac:dyDescent="0.3">
      <c r="A4" s="14" t="s">
        <v>53</v>
      </c>
    </row>
    <row r="5" spans="1:6" x14ac:dyDescent="0.25">
      <c r="A5" s="5" t="s">
        <v>64</v>
      </c>
    </row>
    <row r="6" spans="1:6" x14ac:dyDescent="0.25">
      <c r="A6" s="5" t="s">
        <v>101</v>
      </c>
    </row>
    <row r="7" spans="1:6" x14ac:dyDescent="0.25">
      <c r="A7" s="5"/>
    </row>
    <row r="8" spans="1:6" x14ac:dyDescent="0.25">
      <c r="A8" s="5" t="s">
        <v>57</v>
      </c>
      <c r="B8" s="15">
        <v>1000</v>
      </c>
      <c r="C8" t="s">
        <v>82</v>
      </c>
      <c r="D8">
        <f>B8/1000</f>
        <v>1</v>
      </c>
      <c r="E8" t="s">
        <v>76</v>
      </c>
    </row>
    <row r="10" spans="1:6" x14ac:dyDescent="0.25">
      <c r="A10" s="5" t="s">
        <v>19</v>
      </c>
    </row>
    <row r="11" spans="1:6" x14ac:dyDescent="0.25">
      <c r="A11" s="5" t="s">
        <v>18</v>
      </c>
    </row>
    <row r="12" spans="1:6" x14ac:dyDescent="0.25">
      <c r="A12" s="5" t="s">
        <v>4</v>
      </c>
    </row>
    <row r="13" spans="1:6" x14ac:dyDescent="0.25">
      <c r="A13" s="5"/>
    </row>
    <row r="14" spans="1:6" x14ac:dyDescent="0.25">
      <c r="A14" s="5" t="s">
        <v>80</v>
      </c>
      <c r="B14" s="7" t="s">
        <v>55</v>
      </c>
      <c r="C14" s="7" t="s">
        <v>56</v>
      </c>
      <c r="D14" s="7" t="s">
        <v>75</v>
      </c>
      <c r="E14" s="8" t="s">
        <v>78</v>
      </c>
      <c r="F14" s="8" t="s">
        <v>52</v>
      </c>
    </row>
    <row r="15" spans="1:6" x14ac:dyDescent="0.25">
      <c r="A15" t="s">
        <v>65</v>
      </c>
      <c r="B15" s="6">
        <v>2520</v>
      </c>
      <c r="C15" s="6">
        <f>ROUNDUP(+$B$8*Conventional!L8,0)</f>
        <v>8</v>
      </c>
      <c r="D15" s="6" t="s">
        <v>74</v>
      </c>
      <c r="E15" s="11">
        <f>_xlfn.XLOOKUP(B15,Conventional!B:B,Conventional!O:O)</f>
        <v>50.94</v>
      </c>
      <c r="F15" s="11">
        <f>+C15*E15</f>
        <v>407.52</v>
      </c>
    </row>
    <row r="16" spans="1:6" x14ac:dyDescent="0.25">
      <c r="A16" t="s">
        <v>69</v>
      </c>
      <c r="B16" s="6">
        <v>2515</v>
      </c>
      <c r="C16" s="6">
        <f>ROUNDUP(+$B$8*Conventional!L9,0)</f>
        <v>8</v>
      </c>
      <c r="D16" s="6" t="s">
        <v>74</v>
      </c>
      <c r="E16" s="11">
        <f>_xlfn.XLOOKUP(B16,Conventional!B:B,Conventional!O:O)</f>
        <v>41.14</v>
      </c>
      <c r="F16" s="11">
        <f t="shared" ref="F16:F29" si="0">+C16*E16</f>
        <v>329.12</v>
      </c>
    </row>
    <row r="17" spans="1:6" x14ac:dyDescent="0.25">
      <c r="A17" t="s">
        <v>98</v>
      </c>
      <c r="B17" s="6">
        <v>2492</v>
      </c>
      <c r="C17" s="6">
        <f>ROUNDUP(+$B$8*Conventional!L10,0)</f>
        <v>16</v>
      </c>
      <c r="D17" s="6" t="s">
        <v>74</v>
      </c>
      <c r="E17" s="11">
        <f>_xlfn.XLOOKUP(B17,Conventional!B:B,Conventional!O:O)</f>
        <v>23.05</v>
      </c>
      <c r="F17" s="11">
        <f t="shared" si="0"/>
        <v>368.8</v>
      </c>
    </row>
    <row r="18" spans="1:6" x14ac:dyDescent="0.25">
      <c r="A18" t="s">
        <v>70</v>
      </c>
      <c r="B18" s="6">
        <v>2477</v>
      </c>
      <c r="C18" s="6">
        <f>ROUNDUP(+$B$8*Conventional!L11,0)</f>
        <v>32</v>
      </c>
      <c r="D18" s="6" t="s">
        <v>74</v>
      </c>
      <c r="E18" s="11">
        <f>_xlfn.XLOOKUP(B18,Conventional!B:B,Conventional!O:O)</f>
        <v>11.84</v>
      </c>
      <c r="F18" s="11">
        <f t="shared" si="0"/>
        <v>378.88</v>
      </c>
    </row>
    <row r="19" spans="1:6" x14ac:dyDescent="0.25">
      <c r="A19" t="s">
        <v>71</v>
      </c>
      <c r="B19" s="6">
        <v>2482</v>
      </c>
      <c r="C19" s="6">
        <f>ROUNDUP(+$B$8*Conventional!L12,0)</f>
        <v>240</v>
      </c>
      <c r="D19" s="6" t="s">
        <v>74</v>
      </c>
      <c r="E19" s="11">
        <f>_xlfn.XLOOKUP(B19,Conventional!B:B,Conventional!O:O)</f>
        <v>11.2</v>
      </c>
      <c r="F19" s="11">
        <f t="shared" si="0"/>
        <v>2688</v>
      </c>
    </row>
    <row r="20" spans="1:6" x14ac:dyDescent="0.25">
      <c r="A20" t="s">
        <v>11</v>
      </c>
      <c r="B20" s="6">
        <v>27971</v>
      </c>
      <c r="C20" s="6">
        <f>ROUNDUP(+$B$8*Conventional!L13,0)</f>
        <v>16</v>
      </c>
      <c r="D20" s="6" t="s">
        <v>74</v>
      </c>
      <c r="E20" s="11">
        <f>_xlfn.XLOOKUP(B20,Conventional!B:B,Conventional!O:O)</f>
        <v>9</v>
      </c>
      <c r="F20" s="11">
        <f t="shared" si="0"/>
        <v>144</v>
      </c>
    </row>
    <row r="21" spans="1:6" x14ac:dyDescent="0.25">
      <c r="A21" t="s">
        <v>20</v>
      </c>
      <c r="B21" s="6">
        <v>4679</v>
      </c>
      <c r="C21" s="6">
        <f>ROUNDUP(+$B$8*Conventional!L14,0)</f>
        <v>960</v>
      </c>
      <c r="D21" s="6" t="s">
        <v>74</v>
      </c>
      <c r="E21" s="11">
        <f>_xlfn.XLOOKUP(B21,Conventional!B:B,Conventional!O:O)</f>
        <v>1.98</v>
      </c>
      <c r="F21" s="11">
        <f t="shared" si="0"/>
        <v>1900.8</v>
      </c>
    </row>
    <row r="22" spans="1:6" x14ac:dyDescent="0.25">
      <c r="B22" s="6"/>
      <c r="C22" s="6"/>
      <c r="D22" s="6"/>
      <c r="E22" s="11"/>
      <c r="F22" s="11"/>
    </row>
    <row r="23" spans="1:6" x14ac:dyDescent="0.25">
      <c r="A23" t="s">
        <v>93</v>
      </c>
      <c r="B23" s="6">
        <v>76507</v>
      </c>
      <c r="C23" s="16">
        <f>ROUND(+$B$8*Conventional!L16,2)</f>
        <v>10</v>
      </c>
      <c r="D23" s="6" t="s">
        <v>94</v>
      </c>
      <c r="E23" s="11">
        <f>_xlfn.XLOOKUP(B23,Conventional!B:B,Conventional!O:O)</f>
        <v>95</v>
      </c>
      <c r="F23" s="11">
        <f t="shared" si="0"/>
        <v>950</v>
      </c>
    </row>
    <row r="24" spans="1:6" x14ac:dyDescent="0.25">
      <c r="A24" t="s">
        <v>95</v>
      </c>
      <c r="B24" s="6">
        <v>51122</v>
      </c>
      <c r="C24" s="6">
        <f>ROUND(+$B$8*Conventional!L17,0)</f>
        <v>6</v>
      </c>
      <c r="D24" s="6" t="s">
        <v>74</v>
      </c>
      <c r="E24" s="11">
        <f>_xlfn.XLOOKUP(B24,Conventional!B:B,Conventional!O:O)</f>
        <v>204.53</v>
      </c>
      <c r="F24" s="11">
        <f t="shared" si="0"/>
        <v>1227.18</v>
      </c>
    </row>
    <row r="25" spans="1:6" x14ac:dyDescent="0.25">
      <c r="B25" s="6"/>
      <c r="C25" s="6"/>
      <c r="D25" s="6"/>
      <c r="E25" s="11">
        <f>_xlfn.XLOOKUP(B25,Conventional!B:B,Conventional!O:O)</f>
        <v>0</v>
      </c>
      <c r="F25" s="11"/>
    </row>
    <row r="26" spans="1:6" x14ac:dyDescent="0.25">
      <c r="A26" t="s">
        <v>96</v>
      </c>
      <c r="B26" s="6">
        <v>73270</v>
      </c>
      <c r="C26" s="6">
        <f>ROUNDUP(+$B$8*Conventional!L19,0)</f>
        <v>4</v>
      </c>
      <c r="D26" s="6" t="s">
        <v>74</v>
      </c>
      <c r="E26" s="11">
        <f>_xlfn.XLOOKUP(B26,Conventional!B:B,Conventional!O:O)</f>
        <v>241.06</v>
      </c>
      <c r="F26" s="11">
        <f t="shared" si="0"/>
        <v>964.24</v>
      </c>
    </row>
    <row r="27" spans="1:6" x14ac:dyDescent="0.25">
      <c r="A27" t="s">
        <v>72</v>
      </c>
      <c r="B27" s="6">
        <v>6383</v>
      </c>
      <c r="C27" s="6">
        <f>ROUNDUP(+$B$8*Conventional!L20,0)</f>
        <v>4</v>
      </c>
      <c r="D27" s="6" t="s">
        <v>74</v>
      </c>
      <c r="E27" s="11">
        <f>_xlfn.XLOOKUP(B27,Conventional!B:B,Conventional!O:O)</f>
        <v>19.91</v>
      </c>
      <c r="F27" s="11">
        <f t="shared" si="0"/>
        <v>79.64</v>
      </c>
    </row>
    <row r="28" spans="1:6" x14ac:dyDescent="0.25">
      <c r="A28" t="s">
        <v>73</v>
      </c>
      <c r="B28" s="6">
        <v>6357</v>
      </c>
      <c r="C28" s="6">
        <f>ROUNDUP(+$B$8*Conventional!L21,0)</f>
        <v>4</v>
      </c>
      <c r="D28" s="6" t="s">
        <v>74</v>
      </c>
      <c r="E28" s="11">
        <f>_xlfn.XLOOKUP(B28,Conventional!B:B,Conventional!O:O)</f>
        <v>9.11</v>
      </c>
      <c r="F28" s="11"/>
    </row>
    <row r="29" spans="1:6" x14ac:dyDescent="0.25">
      <c r="A29" t="s">
        <v>92</v>
      </c>
      <c r="B29" s="6">
        <v>28021</v>
      </c>
      <c r="C29" s="6">
        <f>ROUNDUP(+$B$8*Conventional!L22,0)</f>
        <v>16</v>
      </c>
      <c r="D29" s="6" t="s">
        <v>74</v>
      </c>
      <c r="E29" s="11">
        <f>_xlfn.XLOOKUP(B29,Conventional!B:B,Conventional!O:O)</f>
        <v>34.74</v>
      </c>
      <c r="F29" s="11">
        <f t="shared" si="0"/>
        <v>555.84</v>
      </c>
    </row>
    <row r="30" spans="1:6" x14ac:dyDescent="0.25">
      <c r="B30" s="6"/>
      <c r="C30" s="6"/>
      <c r="D30" s="6"/>
      <c r="E30" s="11">
        <f>_xlfn.XLOOKUP(B30,Conventional!B:B,Conventional!O:O)</f>
        <v>0</v>
      </c>
      <c r="F30" s="11"/>
    </row>
    <row r="31" spans="1:6" x14ac:dyDescent="0.25">
      <c r="A31" t="s">
        <v>87</v>
      </c>
      <c r="B31" s="6">
        <v>5994</v>
      </c>
      <c r="C31" s="6">
        <f>ROUNDUP(+$B$8*Conventional!L24,0)</f>
        <v>2</v>
      </c>
      <c r="D31" s="6" t="s">
        <v>74</v>
      </c>
      <c r="E31" s="11">
        <f>_xlfn.XLOOKUP(B31,Conventional!B:B,Conventional!O:O)</f>
        <v>45</v>
      </c>
      <c r="F31" s="11">
        <f t="shared" ref="F31:F32" si="1">+C31*E31</f>
        <v>90</v>
      </c>
    </row>
    <row r="32" spans="1:6" x14ac:dyDescent="0.25">
      <c r="A32" t="s">
        <v>86</v>
      </c>
      <c r="B32" s="6">
        <v>63668</v>
      </c>
      <c r="C32" s="6">
        <f>ROUNDUP(+$B$8*Conventional!L25,0)</f>
        <v>4</v>
      </c>
      <c r="D32" s="6" t="s">
        <v>74</v>
      </c>
      <c r="E32" s="11">
        <f>_xlfn.XLOOKUP(B32,Conventional!B:B,Conventional!O:O)</f>
        <v>143.26</v>
      </c>
      <c r="F32" s="11">
        <f t="shared" si="1"/>
        <v>573.04</v>
      </c>
    </row>
    <row r="33" spans="1:6" ht="6" customHeight="1" x14ac:dyDescent="0.25">
      <c r="E33" s="9"/>
      <c r="F33" s="12"/>
    </row>
    <row r="34" spans="1:6" x14ac:dyDescent="0.25">
      <c r="E34" s="8" t="s">
        <v>58</v>
      </c>
      <c r="F34" s="11">
        <f>SUM(F15:F33)</f>
        <v>10657.059999999998</v>
      </c>
    </row>
    <row r="35" spans="1:6" x14ac:dyDescent="0.25">
      <c r="E35" s="8" t="s">
        <v>59</v>
      </c>
      <c r="F35" s="11">
        <f>+F34*15%</f>
        <v>1598.5589999999995</v>
      </c>
    </row>
    <row r="36" spans="1:6" x14ac:dyDescent="0.25">
      <c r="E36" s="10" t="s">
        <v>52</v>
      </c>
      <c r="F36" s="13">
        <f>SUM(F34:F35)</f>
        <v>12255.618999999997</v>
      </c>
    </row>
    <row r="38" spans="1:6" x14ac:dyDescent="0.25">
      <c r="A38" t="s">
        <v>99</v>
      </c>
    </row>
    <row r="40" spans="1:6" x14ac:dyDescent="0.25">
      <c r="A40" s="5" t="s">
        <v>100</v>
      </c>
    </row>
    <row r="41" spans="1:6" x14ac:dyDescent="0.25">
      <c r="A41" s="5" t="s">
        <v>60</v>
      </c>
      <c r="B41" s="5" t="s">
        <v>66</v>
      </c>
    </row>
    <row r="42" spans="1:6" x14ac:dyDescent="0.25">
      <c r="A42" t="s">
        <v>62</v>
      </c>
      <c r="B42" t="s">
        <v>67</v>
      </c>
    </row>
    <row r="43" spans="1:6" x14ac:dyDescent="0.25">
      <c r="A43" t="s">
        <v>61</v>
      </c>
      <c r="B43" t="s">
        <v>61</v>
      </c>
    </row>
    <row r="44" spans="1:6" x14ac:dyDescent="0.25">
      <c r="A44" t="s">
        <v>104</v>
      </c>
      <c r="B44" t="s">
        <v>105</v>
      </c>
    </row>
    <row r="45" spans="1:6" x14ac:dyDescent="0.25">
      <c r="A45" s="17" t="s">
        <v>63</v>
      </c>
      <c r="B45" s="17" t="s">
        <v>68</v>
      </c>
    </row>
  </sheetData>
  <sheetProtection algorithmName="SHA-512" hashValue="YyTRQYxg4FvIoPh5tCsOeRizk6A6OMx16PHb5OJHOVmMCtT85hiI+O1yoLrXSz5M2GEhie/YqNGshibWGXDm7w==" saltValue="ICceOqq2juGcHl6BvyS6MA==" spinCount="100000" sheet="1" objects="1" scenarios="1" selectLockedCells="1"/>
  <protectedRanges>
    <protectedRange sqref="B8" name="Range1"/>
  </protectedRanges>
  <hyperlinks>
    <hyperlink ref="A45" r:id="rId1" xr:uid="{ACBB06A3-5187-4E9B-B1BB-5EE642212900}"/>
    <hyperlink ref="B45" r:id="rId2" xr:uid="{7AC19390-7BBA-4415-B685-5FA0DD440E18}"/>
  </hyperlinks>
  <pageMargins left="0.34" right="0.38" top="0.55000000000000004" bottom="0.5" header="0.3" footer="0.3"/>
  <pageSetup paperSize="9" scale="87" fitToHeight="0" orientation="portrait" r:id="rId3"/>
  <drawing r:id="rId4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F27F3-11DC-4893-B0D7-975E6F1787FD}">
  <sheetPr>
    <pageSetUpPr fitToPage="1"/>
  </sheetPr>
  <dimension ref="A4:F46"/>
  <sheetViews>
    <sheetView topLeftCell="A8" workbookViewId="0">
      <selection activeCell="B8" sqref="B8"/>
    </sheetView>
  </sheetViews>
  <sheetFormatPr defaultRowHeight="15" x14ac:dyDescent="0.25"/>
  <cols>
    <col min="1" max="1" width="61" bestFit="1" customWidth="1"/>
    <col min="2" max="2" width="9.7109375" customWidth="1"/>
    <col min="3" max="3" width="8.7109375" bestFit="1" customWidth="1"/>
    <col min="4" max="4" width="5.7109375" bestFit="1" customWidth="1"/>
    <col min="5" max="5" width="12.140625" bestFit="1" customWidth="1"/>
    <col min="6" max="6" width="11.28515625" customWidth="1"/>
    <col min="7" max="7" width="1.85546875" customWidth="1"/>
    <col min="9" max="11" width="5.85546875" customWidth="1"/>
  </cols>
  <sheetData>
    <row r="4" spans="1:6" ht="18.75" x14ac:dyDescent="0.3">
      <c r="A4" s="14" t="s">
        <v>53</v>
      </c>
    </row>
    <row r="5" spans="1:6" x14ac:dyDescent="0.25">
      <c r="A5" s="5" t="s">
        <v>64</v>
      </c>
    </row>
    <row r="6" spans="1:6" x14ac:dyDescent="0.25">
      <c r="A6" s="5" t="s">
        <v>101</v>
      </c>
    </row>
    <row r="7" spans="1:6" x14ac:dyDescent="0.25">
      <c r="A7" s="5"/>
    </row>
    <row r="8" spans="1:6" x14ac:dyDescent="0.25">
      <c r="A8" s="5" t="s">
        <v>57</v>
      </c>
      <c r="B8" s="15">
        <v>1000</v>
      </c>
      <c r="C8" t="s">
        <v>81</v>
      </c>
      <c r="D8">
        <f>B8/1000</f>
        <v>1</v>
      </c>
      <c r="E8" t="s">
        <v>76</v>
      </c>
    </row>
    <row r="10" spans="1:6" x14ac:dyDescent="0.25">
      <c r="A10" s="5" t="s">
        <v>2</v>
      </c>
    </row>
    <row r="11" spans="1:6" x14ac:dyDescent="0.25">
      <c r="A11" s="5" t="s">
        <v>3</v>
      </c>
    </row>
    <row r="12" spans="1:6" x14ac:dyDescent="0.25">
      <c r="A12" s="5" t="s">
        <v>4</v>
      </c>
    </row>
    <row r="13" spans="1:6" x14ac:dyDescent="0.25">
      <c r="A13" s="5"/>
    </row>
    <row r="14" spans="1:6" x14ac:dyDescent="0.25">
      <c r="A14" s="5" t="s">
        <v>80</v>
      </c>
      <c r="B14" s="7" t="s">
        <v>55</v>
      </c>
      <c r="C14" s="7" t="s">
        <v>56</v>
      </c>
      <c r="D14" s="7" t="s">
        <v>75</v>
      </c>
      <c r="E14" s="8" t="s">
        <v>78</v>
      </c>
      <c r="F14" s="8" t="s">
        <v>52</v>
      </c>
    </row>
    <row r="15" spans="1:6" x14ac:dyDescent="0.25">
      <c r="A15" t="s">
        <v>65</v>
      </c>
      <c r="B15" s="6">
        <v>2520</v>
      </c>
      <c r="C15" s="6">
        <f>ROUNDUP(+$B$8*Electric!G8,0)</f>
        <v>8</v>
      </c>
      <c r="D15" s="6" t="s">
        <v>74</v>
      </c>
      <c r="E15" s="11">
        <f>_xlfn.XLOOKUP(B15,Electric!B:B,Electric!O:O)</f>
        <v>50.94</v>
      </c>
      <c r="F15" s="11">
        <f>+C15*E15</f>
        <v>407.52</v>
      </c>
    </row>
    <row r="16" spans="1:6" x14ac:dyDescent="0.25">
      <c r="A16" t="s">
        <v>69</v>
      </c>
      <c r="B16" s="6">
        <v>2515</v>
      </c>
      <c r="C16" s="6">
        <f>ROUNDUP(+$B$8*Electric!G9,0)</f>
        <v>8</v>
      </c>
      <c r="D16" s="6" t="s">
        <v>74</v>
      </c>
      <c r="E16" s="11">
        <f>_xlfn.XLOOKUP(B16,Electric!B:B,Electric!O:O)</f>
        <v>41.14</v>
      </c>
      <c r="F16" s="11">
        <f t="shared" ref="F16" si="0">+C16*E16</f>
        <v>329.12</v>
      </c>
    </row>
    <row r="17" spans="1:6" x14ac:dyDescent="0.25">
      <c r="A17" t="s">
        <v>98</v>
      </c>
      <c r="B17" s="6">
        <v>2492</v>
      </c>
      <c r="C17" s="6">
        <f>ROUNDUP(+$B$8*Electric!G10,0)</f>
        <v>16</v>
      </c>
      <c r="D17" s="6" t="s">
        <v>74</v>
      </c>
      <c r="E17" s="11">
        <f>_xlfn.XLOOKUP(B17,Electric!B:B,Electric!O:O)</f>
        <v>23.05</v>
      </c>
      <c r="F17" s="11">
        <f t="shared" ref="F17:F33" si="1">+C17*E17</f>
        <v>368.8</v>
      </c>
    </row>
    <row r="18" spans="1:6" x14ac:dyDescent="0.25">
      <c r="A18" t="s">
        <v>70</v>
      </c>
      <c r="B18" s="6">
        <v>2477</v>
      </c>
      <c r="C18" s="6">
        <f>ROUNDUP(+$B$8*Electric!G11,0)</f>
        <v>24</v>
      </c>
      <c r="D18" s="6" t="s">
        <v>74</v>
      </c>
      <c r="E18" s="11">
        <f>_xlfn.XLOOKUP(B18,Electric!B:B,Electric!O:O)</f>
        <v>11.84</v>
      </c>
      <c r="F18" s="11">
        <f t="shared" si="1"/>
        <v>284.15999999999997</v>
      </c>
    </row>
    <row r="19" spans="1:6" x14ac:dyDescent="0.25">
      <c r="A19" t="s">
        <v>71</v>
      </c>
      <c r="B19" s="6">
        <v>2482</v>
      </c>
      <c r="C19" s="6">
        <f>ROUNDUP(+$B$8*Electric!G12,0)</f>
        <v>200</v>
      </c>
      <c r="D19" s="6" t="s">
        <v>74</v>
      </c>
      <c r="E19" s="11">
        <f>_xlfn.XLOOKUP(B19,Electric!B:B,Electric!O:O)</f>
        <v>11.2</v>
      </c>
      <c r="F19" s="11">
        <f t="shared" si="1"/>
        <v>2240</v>
      </c>
    </row>
    <row r="20" spans="1:6" x14ac:dyDescent="0.25">
      <c r="A20" t="s">
        <v>11</v>
      </c>
      <c r="B20" s="6">
        <v>27971</v>
      </c>
      <c r="C20" s="6">
        <f>ROUNDUP(+$B$8*Electric!G13,0)</f>
        <v>16</v>
      </c>
      <c r="D20" s="6" t="s">
        <v>74</v>
      </c>
      <c r="E20" s="11">
        <f>_xlfn.XLOOKUP(B20,Electric!B:B,Electric!O:O)</f>
        <v>9</v>
      </c>
      <c r="F20" s="11">
        <f t="shared" si="1"/>
        <v>144</v>
      </c>
    </row>
    <row r="21" spans="1:6" x14ac:dyDescent="0.25">
      <c r="B21" s="6"/>
      <c r="C21" s="6"/>
      <c r="D21" s="6"/>
      <c r="E21" s="11">
        <f>_xlfn.XLOOKUP(B21,Electric!B:B,Electric!O:O)</f>
        <v>0</v>
      </c>
      <c r="F21" s="11">
        <f t="shared" si="1"/>
        <v>0</v>
      </c>
    </row>
    <row r="22" spans="1:6" x14ac:dyDescent="0.25">
      <c r="A22" t="s">
        <v>93</v>
      </c>
      <c r="B22" s="6">
        <v>76507</v>
      </c>
      <c r="C22" s="6">
        <f>ROUNDUP(+$B$8*Electric!G15,0)</f>
        <v>12</v>
      </c>
      <c r="D22" s="6" t="s">
        <v>94</v>
      </c>
      <c r="E22" s="11">
        <f>_xlfn.XLOOKUP(B22,Electric!B:B,Electric!O:O)</f>
        <v>95</v>
      </c>
      <c r="F22" s="11">
        <f t="shared" si="1"/>
        <v>1140</v>
      </c>
    </row>
    <row r="23" spans="1:6" x14ac:dyDescent="0.25">
      <c r="A23" t="s">
        <v>83</v>
      </c>
      <c r="B23" s="6">
        <v>36145</v>
      </c>
      <c r="C23" s="6">
        <f>ROUNDUP(+$B$8*Electric!G16/200,0)</f>
        <v>4</v>
      </c>
      <c r="D23" s="6" t="s">
        <v>91</v>
      </c>
      <c r="E23" s="11">
        <f>_xlfn.XLOOKUP(B23,Electric!B:B,Electric!O:O)</f>
        <v>108.7</v>
      </c>
      <c r="F23" s="11">
        <f t="shared" si="1"/>
        <v>434.8</v>
      </c>
    </row>
    <row r="24" spans="1:6" x14ac:dyDescent="0.25">
      <c r="A24" t="s">
        <v>84</v>
      </c>
      <c r="B24" s="6">
        <v>36748</v>
      </c>
      <c r="C24" s="6">
        <f>ROUNDUP(+$B$8*Electric!G17/25,0)</f>
        <v>1</v>
      </c>
      <c r="D24" s="6" t="s">
        <v>91</v>
      </c>
      <c r="E24" s="11">
        <f>_xlfn.XLOOKUP(B24,Electric!B:B,Electric!O:O)</f>
        <v>67.5</v>
      </c>
      <c r="F24" s="11">
        <f t="shared" si="1"/>
        <v>67.5</v>
      </c>
    </row>
    <row r="25" spans="1:6" x14ac:dyDescent="0.25">
      <c r="A25" t="s">
        <v>97</v>
      </c>
      <c r="B25" s="6">
        <v>16123</v>
      </c>
      <c r="C25" s="6">
        <f>ROUNDUP(+$B$8*Electric!G18,0)</f>
        <v>28</v>
      </c>
      <c r="D25" s="6" t="s">
        <v>74</v>
      </c>
      <c r="E25" s="11">
        <f>_xlfn.XLOOKUP(B25,Electric!B:B,Electric!O:O)</f>
        <v>3.5</v>
      </c>
      <c r="F25" s="11">
        <f t="shared" si="1"/>
        <v>98</v>
      </c>
    </row>
    <row r="26" spans="1:6" x14ac:dyDescent="0.25">
      <c r="A26" t="s">
        <v>103</v>
      </c>
      <c r="B26" s="6">
        <v>40851</v>
      </c>
      <c r="C26" s="6">
        <f>ROUNDUP(+$B$8*Electric!G19,0)</f>
        <v>4</v>
      </c>
      <c r="D26" s="6" t="s">
        <v>74</v>
      </c>
      <c r="E26" s="11">
        <f>_xlfn.XLOOKUP(B26,Electric!B:B,Electric!O:O)</f>
        <v>15.5</v>
      </c>
      <c r="F26" s="11">
        <f t="shared" si="1"/>
        <v>62</v>
      </c>
    </row>
    <row r="27" spans="1:6" x14ac:dyDescent="0.25">
      <c r="A27" t="s">
        <v>96</v>
      </c>
      <c r="B27" s="6">
        <v>73270</v>
      </c>
      <c r="C27" s="6">
        <f>ROUNDUP(+$B$8*Electric!G20,0)</f>
        <v>4</v>
      </c>
      <c r="D27" s="6" t="s">
        <v>74</v>
      </c>
      <c r="E27" s="11">
        <f>_xlfn.XLOOKUP(B27,Electric!B:B,Electric!O:O)</f>
        <v>241.06</v>
      </c>
      <c r="F27" s="11">
        <f t="shared" si="1"/>
        <v>964.24</v>
      </c>
    </row>
    <row r="28" spans="1:6" x14ac:dyDescent="0.25">
      <c r="A28" t="s">
        <v>72</v>
      </c>
      <c r="B28" s="6">
        <v>6383</v>
      </c>
      <c r="C28" s="6">
        <f>ROUNDUP(+$B$8*Electric!G21,0)</f>
        <v>4</v>
      </c>
      <c r="D28" s="6" t="s">
        <v>74</v>
      </c>
      <c r="E28" s="11">
        <f>_xlfn.XLOOKUP(B28,Electric!B:B,Electric!O:O)</f>
        <v>19.91</v>
      </c>
      <c r="F28" s="11">
        <f t="shared" si="1"/>
        <v>79.64</v>
      </c>
    </row>
    <row r="29" spans="1:6" x14ac:dyDescent="0.25">
      <c r="A29" t="s">
        <v>73</v>
      </c>
      <c r="B29" s="6">
        <v>6357</v>
      </c>
      <c r="C29" s="6">
        <f>ROUNDUP(+$B$8*Electric!G22,0)</f>
        <v>4</v>
      </c>
      <c r="D29" s="6" t="s">
        <v>74</v>
      </c>
      <c r="E29" s="11">
        <f>_xlfn.XLOOKUP(B29,Electric!B:B,Electric!O:O)</f>
        <v>9.11</v>
      </c>
      <c r="F29" s="11">
        <f t="shared" si="1"/>
        <v>36.44</v>
      </c>
    </row>
    <row r="30" spans="1:6" x14ac:dyDescent="0.25">
      <c r="A30" t="s">
        <v>13</v>
      </c>
      <c r="B30" s="6">
        <v>28021</v>
      </c>
      <c r="C30" s="6">
        <f>ROUNDUP(+$B$8*Electric!G23,0)</f>
        <v>16</v>
      </c>
      <c r="D30" s="6" t="s">
        <v>74</v>
      </c>
      <c r="E30" s="11">
        <f>_xlfn.XLOOKUP(B30,Electric!B:B,Electric!O:O)</f>
        <v>34.74</v>
      </c>
      <c r="F30" s="11">
        <f t="shared" si="1"/>
        <v>555.84</v>
      </c>
    </row>
    <row r="31" spans="1:6" x14ac:dyDescent="0.25">
      <c r="A31" t="s">
        <v>89</v>
      </c>
      <c r="B31" s="6">
        <v>51218</v>
      </c>
      <c r="C31" s="6">
        <f>ROUNDUP(+$B$8*Electric!G24,0)</f>
        <v>20</v>
      </c>
      <c r="D31" s="6" t="s">
        <v>88</v>
      </c>
      <c r="E31" s="11">
        <f>_xlfn.XLOOKUP(B31,Electric!B:B,Electric!O:O)</f>
        <v>96.26</v>
      </c>
      <c r="F31" s="11">
        <f t="shared" si="1"/>
        <v>1925.2</v>
      </c>
    </row>
    <row r="32" spans="1:6" x14ac:dyDescent="0.25">
      <c r="B32" s="6"/>
      <c r="C32" s="6"/>
      <c r="D32" s="6"/>
      <c r="E32" s="11">
        <f>_xlfn.XLOOKUP(B32,Electric!B:B,Electric!O:O)</f>
        <v>0</v>
      </c>
      <c r="F32" s="11"/>
    </row>
    <row r="33" spans="1:6" ht="15.75" customHeight="1" x14ac:dyDescent="0.25">
      <c r="A33" t="s">
        <v>87</v>
      </c>
      <c r="B33" s="6">
        <v>5994</v>
      </c>
      <c r="C33" s="6">
        <f>ROUNDUP(+$B$8*Electric!G26,0)</f>
        <v>2</v>
      </c>
      <c r="D33" s="6" t="s">
        <v>90</v>
      </c>
      <c r="E33" s="11">
        <f>_xlfn.XLOOKUP(B33,Electric!B:B,Electric!O:O)</f>
        <v>45</v>
      </c>
      <c r="F33" s="11">
        <f t="shared" si="1"/>
        <v>90</v>
      </c>
    </row>
    <row r="34" spans="1:6" ht="7.5" customHeight="1" x14ac:dyDescent="0.25">
      <c r="B34" s="6"/>
      <c r="C34" s="6"/>
      <c r="D34" s="6"/>
      <c r="E34" s="12"/>
      <c r="F34" s="12"/>
    </row>
    <row r="35" spans="1:6" x14ac:dyDescent="0.25">
      <c r="B35" s="6"/>
      <c r="E35" s="8" t="s">
        <v>58</v>
      </c>
      <c r="F35" s="11">
        <f>SUM(F15:F33)</f>
        <v>9227.26</v>
      </c>
    </row>
    <row r="36" spans="1:6" x14ac:dyDescent="0.25">
      <c r="E36" s="8" t="s">
        <v>59</v>
      </c>
      <c r="F36" s="11">
        <f>+F35*15%</f>
        <v>1384.0889999999999</v>
      </c>
    </row>
    <row r="37" spans="1:6" x14ac:dyDescent="0.25">
      <c r="E37" s="10" t="s">
        <v>52</v>
      </c>
      <c r="F37" s="13">
        <f>SUM(F35:F36)</f>
        <v>10611.349</v>
      </c>
    </row>
    <row r="39" spans="1:6" x14ac:dyDescent="0.25">
      <c r="A39" t="s">
        <v>99</v>
      </c>
    </row>
    <row r="41" spans="1:6" x14ac:dyDescent="0.25">
      <c r="A41" s="5" t="s">
        <v>100</v>
      </c>
    </row>
    <row r="42" spans="1:6" x14ac:dyDescent="0.25">
      <c r="A42" s="5" t="s">
        <v>60</v>
      </c>
      <c r="B42" s="5" t="s">
        <v>66</v>
      </c>
    </row>
    <row r="43" spans="1:6" x14ac:dyDescent="0.25">
      <c r="A43" t="s">
        <v>62</v>
      </c>
      <c r="B43" t="s">
        <v>67</v>
      </c>
    </row>
    <row r="44" spans="1:6" x14ac:dyDescent="0.25">
      <c r="A44" t="s">
        <v>61</v>
      </c>
      <c r="B44" t="s">
        <v>61</v>
      </c>
    </row>
    <row r="45" spans="1:6" x14ac:dyDescent="0.25">
      <c r="A45" t="s">
        <v>104</v>
      </c>
      <c r="B45" t="s">
        <v>105</v>
      </c>
    </row>
    <row r="46" spans="1:6" x14ac:dyDescent="0.25">
      <c r="A46" s="17" t="s">
        <v>63</v>
      </c>
      <c r="B46" s="17" t="s">
        <v>68</v>
      </c>
    </row>
  </sheetData>
  <sheetProtection algorithmName="SHA-512" hashValue="d+6iVGATnC4C1aL3a+Xf5Mthulbsf7mtnBsV0hcw+bQHXpEDljez65dXy3L/DOisfYhezTy+wPQNDaNjCHp3Zg==" saltValue="ZjV2EjCxr9BnEP1WbAERDw==" spinCount="100000" sheet="1" objects="1" scenarios="1" selectLockedCells="1"/>
  <hyperlinks>
    <hyperlink ref="A46" r:id="rId1" xr:uid="{2054169D-8A73-4E83-9BB0-B9F6D08C5BB5}"/>
    <hyperlink ref="B46" r:id="rId2" xr:uid="{A8C8BFC1-F9BA-485E-A0E1-313FC47C4173}"/>
  </hyperlinks>
  <pageMargins left="0.52" right="0.38" top="0.45" bottom="0.75" header="0.3" footer="0.3"/>
  <pageSetup paperSize="9" scale="84" fitToHeight="0" orientation="portrait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Electric</vt:lpstr>
      <vt:lpstr>Conventional</vt:lpstr>
      <vt:lpstr>Quote Template Conventional</vt:lpstr>
      <vt:lpstr>Quote Template Electric</vt:lpstr>
      <vt:lpstr>'Quote Template Conventional'!Print_Area</vt:lpstr>
      <vt:lpstr>'Quote Template Electric'!Print_Area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Tilson</dc:creator>
  <cp:lastModifiedBy>Maria Beal</cp:lastModifiedBy>
  <cp:lastPrinted>2023-05-30T23:47:53Z</cp:lastPrinted>
  <dcterms:created xsi:type="dcterms:W3CDTF">2021-04-08T08:16:39Z</dcterms:created>
  <dcterms:modified xsi:type="dcterms:W3CDTF">2023-06-19T00:50:51Z</dcterms:modified>
</cp:coreProperties>
</file>